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81" yWindow="65401" windowWidth="11340" windowHeight="8070" activeTab="1"/>
  </bookViews>
  <sheets>
    <sheet name="General Results" sheetId="1" r:id="rId1"/>
    <sheet name="Cadets" sheetId="2" r:id="rId2"/>
  </sheets>
  <definedNames/>
  <calcPr fullCalcOnLoad="1"/>
</workbook>
</file>

<file path=xl/sharedStrings.xml><?xml version="1.0" encoding="utf-8"?>
<sst xmlns="http://schemas.openxmlformats.org/spreadsheetml/2006/main" count="138" uniqueCount="51">
  <si>
    <t>C1</t>
  </si>
  <si>
    <t>Tyler</t>
  </si>
  <si>
    <t>Lokken</t>
  </si>
  <si>
    <t>K1</t>
  </si>
  <si>
    <t>Kieffer</t>
  </si>
  <si>
    <t>Levinson</t>
  </si>
  <si>
    <t>Gette</t>
  </si>
  <si>
    <t>Perlmutter</t>
  </si>
  <si>
    <t>Palko-Schraa</t>
  </si>
  <si>
    <t>Brown R</t>
  </si>
  <si>
    <t>Peha</t>
  </si>
  <si>
    <t>Dodge</t>
  </si>
  <si>
    <t>Brown C</t>
  </si>
  <si>
    <t>Smolen</t>
  </si>
  <si>
    <t>Beals</t>
  </si>
  <si>
    <t>Greenberg</t>
  </si>
  <si>
    <t>Warner</t>
  </si>
  <si>
    <t>Wigfield</t>
  </si>
  <si>
    <t>Peters</t>
  </si>
  <si>
    <t>Ranagan</t>
  </si>
  <si>
    <t>Griffith</t>
  </si>
  <si>
    <t>Beall</t>
  </si>
  <si>
    <t>Morin</t>
  </si>
  <si>
    <t>K1W</t>
  </si>
  <si>
    <t>Nee</t>
  </si>
  <si>
    <t>Robinson</t>
  </si>
  <si>
    <t>Queen</t>
  </si>
  <si>
    <t>Thomas</t>
  </si>
  <si>
    <t>Kunz</t>
  </si>
  <si>
    <t>Lewkowicz</t>
  </si>
  <si>
    <t>Pierotti</t>
  </si>
  <si>
    <t>DNF</t>
  </si>
  <si>
    <t>Thompson</t>
  </si>
  <si>
    <t>C2</t>
  </si>
  <si>
    <t>Powell/Eichfeld</t>
  </si>
  <si>
    <t>R1</t>
  </si>
  <si>
    <t>R1 POLS</t>
  </si>
  <si>
    <t>R2</t>
  </si>
  <si>
    <t>AVGCAPS</t>
  </si>
  <si>
    <t>R2 POLS</t>
  </si>
  <si>
    <t>CAPS</t>
  </si>
  <si>
    <t>R3</t>
  </si>
  <si>
    <t>R3 POLS</t>
  </si>
  <si>
    <t>NT</t>
  </si>
  <si>
    <t>NDT</t>
  </si>
  <si>
    <t>AVGPOLS</t>
  </si>
  <si>
    <t>R4</t>
  </si>
  <si>
    <t>R4 POLS</t>
  </si>
  <si>
    <t>Bib</t>
  </si>
  <si>
    <t>Name</t>
  </si>
  <si>
    <t>Class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</si>
</sst>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0" fontId="1" fillId="3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3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10" fontId="1" fillId="0" borderId="2" xfId="0" applyNumberFormat="1" applyFont="1" applyBorder="1" applyAlignment="1">
      <alignment horizontal="center"/>
    </xf>
    <xf numFmtId="10" fontId="1" fillId="3" borderId="2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">
      <selection activeCell="W31" sqref="W31"/>
    </sheetView>
  </sheetViews>
  <sheetFormatPr defaultColWidth="9.140625" defaultRowHeight="12.75"/>
  <cols>
    <col min="1" max="1" width="3.7109375" style="26" customWidth="1"/>
    <col min="2" max="2" width="3.28125" style="1" customWidth="1"/>
    <col min="3" max="3" width="10.7109375" style="2" customWidth="1"/>
    <col min="4" max="7" width="7.7109375" style="3" customWidth="1"/>
    <col min="8" max="8" width="7.7109375" style="4" customWidth="1"/>
    <col min="9" max="10" width="7.7109375" style="3" customWidth="1"/>
    <col min="11" max="11" width="7.7109375" style="4" customWidth="1"/>
    <col min="12" max="15" width="7.7109375" style="3" customWidth="1"/>
    <col min="16" max="16" width="2.28125" style="3" customWidth="1"/>
    <col min="17" max="17" width="8.7109375" style="9" customWidth="1"/>
    <col min="18" max="18" width="10.28125" style="23" bestFit="1" customWidth="1"/>
    <col min="19" max="19" width="5.7109375" style="3" customWidth="1"/>
    <col min="20" max="23" width="9.140625" style="8" customWidth="1"/>
    <col min="24" max="24" width="9.140625" style="15" customWidth="1"/>
    <col min="25" max="25" width="9.140625" style="16" customWidth="1"/>
    <col min="26" max="16384" width="9.140625" style="17" customWidth="1"/>
  </cols>
  <sheetData>
    <row r="1" spans="1:18" ht="11.25">
      <c r="A1" s="26" t="s">
        <v>50</v>
      </c>
      <c r="B1" s="1" t="s">
        <v>48</v>
      </c>
      <c r="C1" s="2" t="s">
        <v>49</v>
      </c>
      <c r="D1" s="3" t="s">
        <v>35</v>
      </c>
      <c r="E1" s="3" t="s">
        <v>36</v>
      </c>
      <c r="F1" s="3" t="s">
        <v>40</v>
      </c>
      <c r="G1" s="3" t="s">
        <v>37</v>
      </c>
      <c r="H1" s="4" t="s">
        <v>39</v>
      </c>
      <c r="I1" s="3" t="s">
        <v>40</v>
      </c>
      <c r="J1" s="3" t="s">
        <v>41</v>
      </c>
      <c r="K1" s="4" t="s">
        <v>42</v>
      </c>
      <c r="L1" s="3" t="s">
        <v>40</v>
      </c>
      <c r="M1" s="3" t="s">
        <v>46</v>
      </c>
      <c r="N1" s="3" t="s">
        <v>47</v>
      </c>
      <c r="O1" s="3" t="s">
        <v>40</v>
      </c>
      <c r="Q1" s="9" t="s">
        <v>45</v>
      </c>
      <c r="R1" s="23" t="s">
        <v>38</v>
      </c>
    </row>
    <row r="2" spans="6:15" ht="11.25">
      <c r="F2" s="5">
        <f>125.44*1.0463</f>
        <v>131.247872</v>
      </c>
      <c r="I2" s="5">
        <f>122.3*1.0463</f>
        <v>127.96249</v>
      </c>
      <c r="J2" s="8"/>
      <c r="L2" s="5">
        <f>110.39*1.0463</f>
        <v>115.501057</v>
      </c>
      <c r="M2" s="6"/>
      <c r="N2" s="6"/>
      <c r="O2" s="5">
        <f>113.37*1.0463</f>
        <v>118.619031</v>
      </c>
    </row>
    <row r="3" spans="1:19" ht="11.25">
      <c r="A3" s="26" t="s">
        <v>0</v>
      </c>
      <c r="B3" s="1">
        <v>1</v>
      </c>
      <c r="C3" s="2" t="s">
        <v>2</v>
      </c>
      <c r="D3" s="3">
        <v>253.4</v>
      </c>
      <c r="E3" s="4">
        <f>(D3/167.35)-1</f>
        <v>0.5141918135643861</v>
      </c>
      <c r="F3" s="29">
        <f>(D3/131.25)-1</f>
        <v>0.9306666666666668</v>
      </c>
      <c r="G3" s="3">
        <v>157.55</v>
      </c>
      <c r="H3" s="7">
        <f>(G3/157.55)-1</f>
        <v>0</v>
      </c>
      <c r="I3" s="29">
        <f>(G3/127.96)-1</f>
        <v>0.23124413879337302</v>
      </c>
      <c r="J3" s="3">
        <v>145.63</v>
      </c>
      <c r="K3" s="4">
        <f>(J3/145.63)-1</f>
        <v>0</v>
      </c>
      <c r="L3" s="29">
        <f>(J3/115.5)-1</f>
        <v>0.2608658008658009</v>
      </c>
      <c r="M3" s="8">
        <v>137.97</v>
      </c>
      <c r="N3" s="7">
        <f>(M3/137.97)-1</f>
        <v>0</v>
      </c>
      <c r="O3" s="29">
        <f>(M3/118.62)-1</f>
        <v>0.1631259484066767</v>
      </c>
      <c r="Q3" s="9">
        <f>(SUM(E3,H3,K3,N3)-MAX(E3,H3,K3,N3))/3</f>
        <v>0</v>
      </c>
      <c r="R3" s="23">
        <f>(SUM(F3,I3,L3,O3)-MAX(F3,I3,L3,O3))/3</f>
        <v>0.21841196268861687</v>
      </c>
      <c r="S3" s="3" t="s">
        <v>44</v>
      </c>
    </row>
    <row r="4" spans="1:19" ht="11.25">
      <c r="A4" s="27" t="s">
        <v>0</v>
      </c>
      <c r="B4" s="11">
        <v>2</v>
      </c>
      <c r="C4" s="12" t="s">
        <v>1</v>
      </c>
      <c r="D4" s="10">
        <v>167.35</v>
      </c>
      <c r="E4" s="13">
        <f>(D4/167.35)-1</f>
        <v>0</v>
      </c>
      <c r="F4" s="30">
        <f>(D4/131.25)-1</f>
        <v>0.275047619047619</v>
      </c>
      <c r="G4" s="10">
        <v>178.78</v>
      </c>
      <c r="H4" s="13">
        <f>(G4/157.55)-1</f>
        <v>0.13475087273881292</v>
      </c>
      <c r="I4" s="30">
        <f>(G4/127.96)-1</f>
        <v>0.3971553610503282</v>
      </c>
      <c r="J4" s="10">
        <v>190.5</v>
      </c>
      <c r="K4" s="13">
        <f>(J4/145.63)-1</f>
        <v>0.30810959280368055</v>
      </c>
      <c r="L4" s="30">
        <f>(J4/115.5)-1</f>
        <v>0.6493506493506493</v>
      </c>
      <c r="M4" s="10">
        <v>210.83</v>
      </c>
      <c r="N4" s="13">
        <f>(M4/137.97)-1</f>
        <v>0.5280858157570487</v>
      </c>
      <c r="O4" s="30">
        <f>(M4/118.62)-1</f>
        <v>0.7773562636992075</v>
      </c>
      <c r="P4" s="10"/>
      <c r="Q4" s="14">
        <f>(SUM(E4,H4,K4,N4)-MAX(E4,H4,K4,N4))/3</f>
        <v>0.14762015518083116</v>
      </c>
      <c r="R4" s="24">
        <f>(SUM(F4,I4,L4,O4)-MAX(F4,I4,L4,O4))/3</f>
        <v>0.4405178764828655</v>
      </c>
      <c r="S4" s="10"/>
    </row>
    <row r="5" spans="13:14" ht="11.25">
      <c r="M5" s="8"/>
      <c r="N5" s="8"/>
    </row>
    <row r="6" spans="6:15" ht="11.25">
      <c r="F6" s="5">
        <v>125.44</v>
      </c>
      <c r="I6" s="5">
        <v>122.3</v>
      </c>
      <c r="L6" s="5">
        <v>110.39</v>
      </c>
      <c r="M6" s="8"/>
      <c r="N6" s="8"/>
      <c r="O6" s="5">
        <v>113.37</v>
      </c>
    </row>
    <row r="7" spans="1:19" ht="11.25">
      <c r="A7" s="26" t="s">
        <v>3</v>
      </c>
      <c r="B7" s="1">
        <v>2</v>
      </c>
      <c r="C7" s="2" t="s">
        <v>5</v>
      </c>
      <c r="D7" s="3">
        <v>127.81</v>
      </c>
      <c r="E7" s="4">
        <f>(D7/127.81)-1</f>
        <v>0</v>
      </c>
      <c r="F7" s="29">
        <f>(D7/125.44)-1</f>
        <v>0.01889349489795933</v>
      </c>
      <c r="G7" s="3">
        <v>126.42</v>
      </c>
      <c r="H7" s="4">
        <f>(G7/126.42)-1</f>
        <v>0</v>
      </c>
      <c r="I7" s="29">
        <f>(G7/122.3)-1</f>
        <v>0.03368765331152912</v>
      </c>
      <c r="J7" s="3">
        <v>122.3</v>
      </c>
      <c r="K7" s="4">
        <f>(J7/117.35)-1</f>
        <v>0.04218150830847889</v>
      </c>
      <c r="L7" s="29">
        <f>J7/110.39-1</f>
        <v>0.1078902074463266</v>
      </c>
      <c r="M7" s="8">
        <v>126.24</v>
      </c>
      <c r="N7" s="7">
        <f>(M7/113.82)-1</f>
        <v>0.10911966262519779</v>
      </c>
      <c r="O7" s="29">
        <f>(M7/113.37)-1</f>
        <v>0.11352209579253758</v>
      </c>
      <c r="Q7" s="9">
        <f aca="true" t="shared" si="0" ref="Q7:Q26">(SUM(E7,H7,K7,N7)-MAX(E7,H7,K7,N7))/3</f>
        <v>0.014060502769492963</v>
      </c>
      <c r="R7" s="23">
        <f aca="true" t="shared" si="1" ref="R7:R26">(SUM(F7,I7,L7,O7)-MAX(F7,I7,L7,O7))/3</f>
        <v>0.053490451885271684</v>
      </c>
      <c r="S7" s="3" t="s">
        <v>43</v>
      </c>
    </row>
    <row r="8" spans="1:19" ht="11.25">
      <c r="A8" s="27" t="s">
        <v>3</v>
      </c>
      <c r="B8" s="11">
        <v>1</v>
      </c>
      <c r="C8" s="12" t="s">
        <v>4</v>
      </c>
      <c r="D8" s="10">
        <v>134.32</v>
      </c>
      <c r="E8" s="13">
        <f aca="true" t="shared" si="2" ref="E8:E26">(D8/127.81)-1</f>
        <v>0.05093498161333221</v>
      </c>
      <c r="F8" s="30">
        <f aca="true" t="shared" si="3" ref="F8:F26">(D8/125.44)-1</f>
        <v>0.0707908163265305</v>
      </c>
      <c r="G8" s="10">
        <v>126.87</v>
      </c>
      <c r="H8" s="13">
        <f aca="true" t="shared" si="4" ref="H8:H26">(G8/126.42)-1</f>
        <v>0.003559563360227891</v>
      </c>
      <c r="I8" s="30">
        <f aca="true" t="shared" si="5" ref="I8:I26">(G8/122.3)-1</f>
        <v>0.0373671300081766</v>
      </c>
      <c r="J8" s="10">
        <v>123.88</v>
      </c>
      <c r="K8" s="13">
        <f aca="true" t="shared" si="6" ref="K8:K26">(J8/117.35)-1</f>
        <v>0.0556455048998723</v>
      </c>
      <c r="L8" s="30">
        <f aca="true" t="shared" si="7" ref="L8:L26">J8/110.39-1</f>
        <v>0.1222030981067126</v>
      </c>
      <c r="M8" s="10">
        <v>113.82</v>
      </c>
      <c r="N8" s="13">
        <f aca="true" t="shared" si="8" ref="N8:N26">(M8/113.82)-1</f>
        <v>0</v>
      </c>
      <c r="O8" s="30">
        <f aca="true" t="shared" si="9" ref="O8:O26">(M8/113.37)-1</f>
        <v>0.003969304048690114</v>
      </c>
      <c r="P8" s="10"/>
      <c r="Q8" s="14">
        <f t="shared" si="0"/>
        <v>0.018164848324520033</v>
      </c>
      <c r="R8" s="24">
        <f t="shared" si="1"/>
        <v>0.03737575012779907</v>
      </c>
      <c r="S8" s="10" t="s">
        <v>43</v>
      </c>
    </row>
    <row r="9" spans="1:19" ht="11.25">
      <c r="A9" s="26" t="s">
        <v>3</v>
      </c>
      <c r="B9" s="1">
        <v>3</v>
      </c>
      <c r="C9" s="2" t="s">
        <v>6</v>
      </c>
      <c r="D9" s="3">
        <v>132.1</v>
      </c>
      <c r="E9" s="4">
        <f t="shared" si="2"/>
        <v>0.0335654487129331</v>
      </c>
      <c r="F9" s="29">
        <f t="shared" si="3"/>
        <v>0.05309311224489788</v>
      </c>
      <c r="G9" s="3">
        <v>130.86</v>
      </c>
      <c r="H9" s="4">
        <f t="shared" si="4"/>
        <v>0.035121025154247754</v>
      </c>
      <c r="I9" s="29">
        <f t="shared" si="5"/>
        <v>0.06999182338511867</v>
      </c>
      <c r="J9" s="3">
        <v>117.35</v>
      </c>
      <c r="K9" s="4">
        <f t="shared" si="6"/>
        <v>0</v>
      </c>
      <c r="L9" s="29">
        <f t="shared" si="7"/>
        <v>0.0630491892381555</v>
      </c>
      <c r="M9" s="8">
        <v>121.33</v>
      </c>
      <c r="N9" s="7">
        <f t="shared" si="8"/>
        <v>0.06598137409945526</v>
      </c>
      <c r="O9" s="29">
        <f t="shared" si="9"/>
        <v>0.07021257828349636</v>
      </c>
      <c r="Q9" s="9">
        <f t="shared" si="0"/>
        <v>0.022895491289060283</v>
      </c>
      <c r="R9" s="23">
        <f t="shared" si="1"/>
        <v>0.06204470828939068</v>
      </c>
      <c r="S9" s="3" t="s">
        <v>43</v>
      </c>
    </row>
    <row r="10" spans="1:19" ht="11.25">
      <c r="A10" s="27" t="s">
        <v>3</v>
      </c>
      <c r="B10" s="11">
        <v>5</v>
      </c>
      <c r="C10" s="12" t="s">
        <v>7</v>
      </c>
      <c r="D10" s="10">
        <v>132.3</v>
      </c>
      <c r="E10" s="13">
        <f t="shared" si="2"/>
        <v>0.03513027149675296</v>
      </c>
      <c r="F10" s="30">
        <f t="shared" si="3"/>
        <v>0.0546875</v>
      </c>
      <c r="G10" s="10">
        <v>131.62</v>
      </c>
      <c r="H10" s="13">
        <f t="shared" si="4"/>
        <v>0.04113273216263247</v>
      </c>
      <c r="I10" s="30">
        <f t="shared" si="5"/>
        <v>0.0762060506950124</v>
      </c>
      <c r="J10" s="10">
        <v>118.69</v>
      </c>
      <c r="K10" s="13">
        <f t="shared" si="6"/>
        <v>0.011418832552194225</v>
      </c>
      <c r="L10" s="30">
        <f t="shared" si="7"/>
        <v>0.07518796992481191</v>
      </c>
      <c r="M10" s="10">
        <v>117.95</v>
      </c>
      <c r="N10" s="13">
        <f t="shared" si="8"/>
        <v>0.0362853628536286</v>
      </c>
      <c r="O10" s="30">
        <f t="shared" si="9"/>
        <v>0.04039869454000167</v>
      </c>
      <c r="P10" s="10"/>
      <c r="Q10" s="14">
        <f t="shared" si="0"/>
        <v>0.02761148896752526</v>
      </c>
      <c r="R10" s="24">
        <f t="shared" si="1"/>
        <v>0.05675805482160453</v>
      </c>
      <c r="S10" s="10" t="s">
        <v>44</v>
      </c>
    </row>
    <row r="11" spans="1:19" ht="11.25">
      <c r="A11" s="26" t="s">
        <v>3</v>
      </c>
      <c r="B11" s="1">
        <v>4</v>
      </c>
      <c r="C11" s="2" t="s">
        <v>2</v>
      </c>
      <c r="D11" s="3">
        <v>139.54</v>
      </c>
      <c r="E11" s="4">
        <f t="shared" si="2"/>
        <v>0.09177685627102727</v>
      </c>
      <c r="F11" s="29">
        <f t="shared" si="3"/>
        <v>0.11240433673469385</v>
      </c>
      <c r="G11" s="3">
        <v>141.84</v>
      </c>
      <c r="H11" s="4">
        <f t="shared" si="4"/>
        <v>0.12197437114380638</v>
      </c>
      <c r="I11" s="29">
        <f t="shared" si="5"/>
        <v>0.15977105478331977</v>
      </c>
      <c r="J11" s="3">
        <v>125.97</v>
      </c>
      <c r="K11" s="4">
        <f t="shared" si="6"/>
        <v>0.07345547507456329</v>
      </c>
      <c r="L11" s="29">
        <f t="shared" si="7"/>
        <v>0.14113597246127374</v>
      </c>
      <c r="M11" s="8">
        <v>123.88</v>
      </c>
      <c r="N11" s="7">
        <f t="shared" si="8"/>
        <v>0.08838516956598141</v>
      </c>
      <c r="O11" s="29">
        <f t="shared" si="9"/>
        <v>0.0927053012260739</v>
      </c>
      <c r="Q11" s="9">
        <f t="shared" si="0"/>
        <v>0.084539166970524</v>
      </c>
      <c r="R11" s="23">
        <f t="shared" si="1"/>
        <v>0.11541520347401384</v>
      </c>
      <c r="S11" s="3" t="s">
        <v>44</v>
      </c>
    </row>
    <row r="12" spans="1:19" ht="11.25">
      <c r="A12" s="27" t="s">
        <v>3</v>
      </c>
      <c r="B12" s="11">
        <v>7</v>
      </c>
      <c r="C12" s="12" t="s">
        <v>9</v>
      </c>
      <c r="D12" s="10">
        <v>138.75</v>
      </c>
      <c r="E12" s="13">
        <f t="shared" si="2"/>
        <v>0.08559580627493935</v>
      </c>
      <c r="F12" s="30">
        <f t="shared" si="3"/>
        <v>0.1061065051020409</v>
      </c>
      <c r="G12" s="10">
        <v>136.6</v>
      </c>
      <c r="H12" s="13">
        <f t="shared" si="4"/>
        <v>0.08052523334915351</v>
      </c>
      <c r="I12" s="30">
        <f t="shared" si="5"/>
        <v>0.11692559280457893</v>
      </c>
      <c r="J12" s="10">
        <v>131.02</v>
      </c>
      <c r="K12" s="13">
        <f t="shared" si="6"/>
        <v>0.11648913506604197</v>
      </c>
      <c r="L12" s="30">
        <f t="shared" si="7"/>
        <v>0.18688286982516544</v>
      </c>
      <c r="M12" s="10">
        <v>126.4</v>
      </c>
      <c r="N12" s="13">
        <f t="shared" si="8"/>
        <v>0.11052539096819558</v>
      </c>
      <c r="O12" s="30">
        <f t="shared" si="9"/>
        <v>0.11493340389873863</v>
      </c>
      <c r="P12" s="10"/>
      <c r="Q12" s="14">
        <f t="shared" si="0"/>
        <v>0.09221547686409615</v>
      </c>
      <c r="R12" s="24">
        <f t="shared" si="1"/>
        <v>0.11265516726845282</v>
      </c>
      <c r="S12" s="10" t="s">
        <v>44</v>
      </c>
    </row>
    <row r="13" spans="1:19" ht="11.25">
      <c r="A13" s="26" t="s">
        <v>3</v>
      </c>
      <c r="B13" s="1">
        <v>6</v>
      </c>
      <c r="C13" s="2" t="s">
        <v>8</v>
      </c>
      <c r="D13" s="3">
        <v>142.6</v>
      </c>
      <c r="E13" s="4">
        <f t="shared" si="2"/>
        <v>0.11571864486346906</v>
      </c>
      <c r="F13" s="29">
        <f t="shared" si="3"/>
        <v>0.13679846938775508</v>
      </c>
      <c r="G13" s="3">
        <v>140.53</v>
      </c>
      <c r="H13" s="4">
        <f t="shared" si="4"/>
        <v>0.11161208669514311</v>
      </c>
      <c r="I13" s="29">
        <f t="shared" si="5"/>
        <v>0.14905968928863444</v>
      </c>
      <c r="J13" s="3">
        <v>132.44</v>
      </c>
      <c r="K13" s="4">
        <f t="shared" si="6"/>
        <v>0.12858968896463585</v>
      </c>
      <c r="L13" s="29">
        <f t="shared" si="7"/>
        <v>0.19974635383639816</v>
      </c>
      <c r="M13" s="8">
        <v>134.17</v>
      </c>
      <c r="N13" s="7">
        <f t="shared" si="8"/>
        <v>0.178791073625022</v>
      </c>
      <c r="O13" s="29">
        <f t="shared" si="9"/>
        <v>0.18347005380612136</v>
      </c>
      <c r="Q13" s="9">
        <f t="shared" si="0"/>
        <v>0.118640140174416</v>
      </c>
      <c r="R13" s="23">
        <f t="shared" si="1"/>
        <v>0.1564427374941703</v>
      </c>
      <c r="S13" s="3" t="s">
        <v>44</v>
      </c>
    </row>
    <row r="14" spans="1:19" ht="11.25">
      <c r="A14" s="27" t="s">
        <v>3</v>
      </c>
      <c r="B14" s="11">
        <v>12</v>
      </c>
      <c r="C14" s="12" t="s">
        <v>14</v>
      </c>
      <c r="D14" s="10">
        <v>146.61</v>
      </c>
      <c r="E14" s="13">
        <f t="shared" si="2"/>
        <v>0.14709334167905497</v>
      </c>
      <c r="F14" s="30">
        <f t="shared" si="3"/>
        <v>0.16876594387755106</v>
      </c>
      <c r="G14" s="10">
        <v>145.85</v>
      </c>
      <c r="H14" s="13">
        <f t="shared" si="4"/>
        <v>0.15369403575383633</v>
      </c>
      <c r="I14" s="30">
        <f t="shared" si="5"/>
        <v>0.1925592804578904</v>
      </c>
      <c r="J14" s="10">
        <v>132.21</v>
      </c>
      <c r="K14" s="13">
        <f t="shared" si="6"/>
        <v>0.12662974009373684</v>
      </c>
      <c r="L14" s="30">
        <f t="shared" si="7"/>
        <v>0.19766283177824095</v>
      </c>
      <c r="M14" s="10">
        <v>126.56</v>
      </c>
      <c r="N14" s="13">
        <f t="shared" si="8"/>
        <v>0.11193111931119315</v>
      </c>
      <c r="O14" s="30">
        <f t="shared" si="9"/>
        <v>0.11634471200493945</v>
      </c>
      <c r="P14" s="10"/>
      <c r="Q14" s="14">
        <f t="shared" si="0"/>
        <v>0.1285514003613283</v>
      </c>
      <c r="R14" s="24">
        <f t="shared" si="1"/>
        <v>0.1592233121134603</v>
      </c>
      <c r="S14" s="10" t="s">
        <v>44</v>
      </c>
    </row>
    <row r="15" spans="1:19" ht="11.25">
      <c r="A15" s="26" t="s">
        <v>3</v>
      </c>
      <c r="B15" s="1">
        <v>11</v>
      </c>
      <c r="C15" s="2" t="s">
        <v>13</v>
      </c>
      <c r="D15" s="3">
        <v>144.11</v>
      </c>
      <c r="E15" s="4">
        <f t="shared" si="2"/>
        <v>0.12753305688130823</v>
      </c>
      <c r="F15" s="29">
        <f t="shared" si="3"/>
        <v>0.14883609693877564</v>
      </c>
      <c r="G15" s="3">
        <v>154.45</v>
      </c>
      <c r="H15" s="4">
        <f t="shared" si="4"/>
        <v>0.22172124663819015</v>
      </c>
      <c r="I15" s="29">
        <f t="shared" si="5"/>
        <v>0.2628781684382664</v>
      </c>
      <c r="J15" s="3">
        <v>128.71</v>
      </c>
      <c r="K15" s="4">
        <f t="shared" si="6"/>
        <v>0.0968044311887517</v>
      </c>
      <c r="L15" s="29">
        <f t="shared" si="7"/>
        <v>0.16595706132801902</v>
      </c>
      <c r="M15" s="8">
        <v>132.72</v>
      </c>
      <c r="N15" s="7">
        <f t="shared" si="8"/>
        <v>0.16605166051660514</v>
      </c>
      <c r="O15" s="29">
        <f t="shared" si="9"/>
        <v>0.17068007409367558</v>
      </c>
      <c r="Q15" s="9">
        <f t="shared" si="0"/>
        <v>0.13012971619555502</v>
      </c>
      <c r="R15" s="23">
        <f t="shared" si="1"/>
        <v>0.1618244107868234</v>
      </c>
      <c r="S15" s="3" t="s">
        <v>44</v>
      </c>
    </row>
    <row r="16" spans="1:19" ht="11.25">
      <c r="A16" s="27" t="s">
        <v>3</v>
      </c>
      <c r="B16" s="11">
        <v>8</v>
      </c>
      <c r="C16" s="12" t="s">
        <v>10</v>
      </c>
      <c r="D16" s="10">
        <v>147.41</v>
      </c>
      <c r="E16" s="13">
        <f t="shared" si="2"/>
        <v>0.15335263281433376</v>
      </c>
      <c r="F16" s="30">
        <f t="shared" si="3"/>
        <v>0.1751434948979591</v>
      </c>
      <c r="G16" s="10">
        <v>149.22</v>
      </c>
      <c r="H16" s="13">
        <f t="shared" si="4"/>
        <v>0.18035121025154255</v>
      </c>
      <c r="I16" s="30">
        <f t="shared" si="5"/>
        <v>0.22011447260834016</v>
      </c>
      <c r="J16" s="10">
        <v>131.17</v>
      </c>
      <c r="K16" s="13">
        <f t="shared" si="6"/>
        <v>0.1177673625905411</v>
      </c>
      <c r="L16" s="30">
        <f t="shared" si="7"/>
        <v>0.18824168855874612</v>
      </c>
      <c r="M16" s="10">
        <v>132.49</v>
      </c>
      <c r="N16" s="13">
        <f t="shared" si="8"/>
        <v>0.1640309260235462</v>
      </c>
      <c r="O16" s="30">
        <f t="shared" si="9"/>
        <v>0.1686513186910117</v>
      </c>
      <c r="P16" s="10"/>
      <c r="Q16" s="14">
        <f t="shared" si="0"/>
        <v>0.145050307142807</v>
      </c>
      <c r="R16" s="24">
        <f t="shared" si="1"/>
        <v>0.17734550071590563</v>
      </c>
      <c r="S16" s="10" t="s">
        <v>44</v>
      </c>
    </row>
    <row r="17" spans="1:18" ht="11.25">
      <c r="A17" s="26" t="s">
        <v>3</v>
      </c>
      <c r="B17" s="1">
        <v>9</v>
      </c>
      <c r="C17" s="2" t="s">
        <v>11</v>
      </c>
      <c r="D17" s="3">
        <v>162.04</v>
      </c>
      <c r="E17" s="4">
        <f t="shared" si="2"/>
        <v>0.26781941945074705</v>
      </c>
      <c r="F17" s="29">
        <f t="shared" si="3"/>
        <v>0.2917729591836735</v>
      </c>
      <c r="G17" s="3">
        <v>147.4</v>
      </c>
      <c r="H17" s="4">
        <f t="shared" si="4"/>
        <v>0.16595475399462112</v>
      </c>
      <c r="I17" s="29">
        <f t="shared" si="5"/>
        <v>0.20523303352412103</v>
      </c>
      <c r="J17" s="3">
        <v>148.07</v>
      </c>
      <c r="K17" s="4">
        <f t="shared" si="6"/>
        <v>0.26178099701746915</v>
      </c>
      <c r="L17" s="29">
        <f t="shared" si="7"/>
        <v>0.3413352658755322</v>
      </c>
      <c r="M17" s="8">
        <v>183.21</v>
      </c>
      <c r="N17" s="7">
        <f t="shared" si="8"/>
        <v>0.609646810753822</v>
      </c>
      <c r="O17" s="29">
        <f t="shared" si="9"/>
        <v>0.6160359883567081</v>
      </c>
      <c r="Q17" s="9">
        <f t="shared" si="0"/>
        <v>0.23185172348761243</v>
      </c>
      <c r="R17" s="23">
        <f t="shared" si="1"/>
        <v>0.27944708619444225</v>
      </c>
    </row>
    <row r="18" spans="1:19" ht="11.25">
      <c r="A18" s="27" t="s">
        <v>3</v>
      </c>
      <c r="B18" s="11">
        <v>10</v>
      </c>
      <c r="C18" s="12" t="s">
        <v>12</v>
      </c>
      <c r="D18" s="10">
        <v>157.95</v>
      </c>
      <c r="E18" s="13">
        <f t="shared" si="2"/>
        <v>0.2358187935216336</v>
      </c>
      <c r="F18" s="30">
        <f t="shared" si="3"/>
        <v>0.25916772959183665</v>
      </c>
      <c r="G18" s="10">
        <v>152.77</v>
      </c>
      <c r="H18" s="13">
        <f t="shared" si="4"/>
        <v>0.2084322100933398</v>
      </c>
      <c r="I18" s="30">
        <f t="shared" si="5"/>
        <v>0.24914145543744892</v>
      </c>
      <c r="J18" s="10">
        <v>149.77</v>
      </c>
      <c r="K18" s="13">
        <f t="shared" si="6"/>
        <v>0.27626757562846205</v>
      </c>
      <c r="L18" s="30">
        <f t="shared" si="7"/>
        <v>0.35673521152278287</v>
      </c>
      <c r="M18" s="10">
        <v>196.66</v>
      </c>
      <c r="N18" s="13">
        <f t="shared" si="8"/>
        <v>0.7278158495870675</v>
      </c>
      <c r="O18" s="30">
        <f t="shared" si="9"/>
        <v>0.7346740760342241</v>
      </c>
      <c r="P18" s="10"/>
      <c r="Q18" s="14">
        <f t="shared" si="0"/>
        <v>0.2401728597478118</v>
      </c>
      <c r="R18" s="24">
        <f t="shared" si="1"/>
        <v>0.28834813218402283</v>
      </c>
      <c r="S18" s="10"/>
    </row>
    <row r="19" spans="1:18" ht="11.25">
      <c r="A19" s="26" t="s">
        <v>3</v>
      </c>
      <c r="B19" s="1">
        <v>15</v>
      </c>
      <c r="C19" s="2" t="s">
        <v>17</v>
      </c>
      <c r="D19" s="3">
        <v>172.81</v>
      </c>
      <c r="E19" s="4">
        <f t="shared" si="2"/>
        <v>0.3520851263594398</v>
      </c>
      <c r="F19" s="29">
        <f t="shared" si="3"/>
        <v>0.37763073979591844</v>
      </c>
      <c r="G19" s="3">
        <v>182.01</v>
      </c>
      <c r="H19" s="4">
        <f t="shared" si="4"/>
        <v>0.4397247271001423</v>
      </c>
      <c r="I19" s="29">
        <f t="shared" si="5"/>
        <v>0.48822567457072763</v>
      </c>
      <c r="J19" s="3">
        <v>146.65</v>
      </c>
      <c r="K19" s="4">
        <f t="shared" si="6"/>
        <v>0.24968044311887527</v>
      </c>
      <c r="L19" s="29">
        <f t="shared" si="7"/>
        <v>0.32847178186429926</v>
      </c>
      <c r="M19" s="8">
        <v>138.33</v>
      </c>
      <c r="N19" s="7">
        <f t="shared" si="8"/>
        <v>0.2153400105429628</v>
      </c>
      <c r="O19" s="29">
        <f t="shared" si="9"/>
        <v>0.22016406456734594</v>
      </c>
      <c r="Q19" s="9">
        <f t="shared" si="0"/>
        <v>0.27236852667375927</v>
      </c>
      <c r="R19" s="23">
        <f t="shared" si="1"/>
        <v>0.3087555287425212</v>
      </c>
    </row>
    <row r="20" spans="1:19" ht="11.25">
      <c r="A20" s="27" t="s">
        <v>3</v>
      </c>
      <c r="B20" s="11">
        <v>13</v>
      </c>
      <c r="C20" s="12" t="s">
        <v>15</v>
      </c>
      <c r="D20" s="10">
        <v>154.07</v>
      </c>
      <c r="E20" s="13">
        <f t="shared" si="2"/>
        <v>0.20546123151553086</v>
      </c>
      <c r="F20" s="30">
        <f t="shared" si="3"/>
        <v>0.2282366071428572</v>
      </c>
      <c r="G20" s="10">
        <v>167.36</v>
      </c>
      <c r="H20" s="13">
        <f t="shared" si="4"/>
        <v>0.3238411643727259</v>
      </c>
      <c r="I20" s="30">
        <f t="shared" si="5"/>
        <v>0.36843826655764533</v>
      </c>
      <c r="J20" s="10">
        <v>168.94</v>
      </c>
      <c r="K20" s="13">
        <f t="shared" si="6"/>
        <v>0.4396250532594803</v>
      </c>
      <c r="L20" s="30">
        <f t="shared" si="7"/>
        <v>0.530392245674427</v>
      </c>
      <c r="M20" s="10">
        <v>148.19</v>
      </c>
      <c r="N20" s="13">
        <f t="shared" si="8"/>
        <v>0.3019680196801968</v>
      </c>
      <c r="O20" s="30">
        <f t="shared" si="9"/>
        <v>0.3071359266119784</v>
      </c>
      <c r="P20" s="10"/>
      <c r="Q20" s="14">
        <f t="shared" si="0"/>
        <v>0.2770901385228179</v>
      </c>
      <c r="R20" s="24">
        <f t="shared" si="1"/>
        <v>0.30127026677082697</v>
      </c>
      <c r="S20" s="10"/>
    </row>
    <row r="21" spans="1:18" ht="11.25">
      <c r="A21" s="26" t="s">
        <v>3</v>
      </c>
      <c r="B21" s="1">
        <v>14</v>
      </c>
      <c r="C21" s="2" t="s">
        <v>16</v>
      </c>
      <c r="D21" s="3">
        <v>197.93</v>
      </c>
      <c r="E21" s="4">
        <f t="shared" si="2"/>
        <v>0.5486268680071982</v>
      </c>
      <c r="F21" s="29">
        <f t="shared" si="3"/>
        <v>0.5778858418367347</v>
      </c>
      <c r="G21" s="3">
        <v>171.59</v>
      </c>
      <c r="H21" s="4">
        <f t="shared" si="4"/>
        <v>0.3573010599588673</v>
      </c>
      <c r="I21" s="29">
        <f t="shared" si="5"/>
        <v>0.4030253475061325</v>
      </c>
      <c r="J21" s="3">
        <v>154.69</v>
      </c>
      <c r="K21" s="4">
        <f t="shared" si="6"/>
        <v>0.31819343843204084</v>
      </c>
      <c r="L21" s="29">
        <f t="shared" si="7"/>
        <v>0.40130446598423775</v>
      </c>
      <c r="M21" s="8">
        <v>144.97</v>
      </c>
      <c r="N21" s="7">
        <f t="shared" si="8"/>
        <v>0.27367773677736773</v>
      </c>
      <c r="O21" s="29">
        <f t="shared" si="9"/>
        <v>0.27873335097468455</v>
      </c>
      <c r="Q21" s="9">
        <f t="shared" si="0"/>
        <v>0.31639074505609194</v>
      </c>
      <c r="R21" s="23">
        <f t="shared" si="1"/>
        <v>0.36102105482168495</v>
      </c>
    </row>
    <row r="22" spans="1:25" ht="11.25">
      <c r="A22" s="27" t="s">
        <v>3</v>
      </c>
      <c r="B22" s="11">
        <v>16</v>
      </c>
      <c r="C22" s="12" t="s">
        <v>18</v>
      </c>
      <c r="D22" s="10">
        <v>168.85</v>
      </c>
      <c r="E22" s="13">
        <f t="shared" si="2"/>
        <v>0.32110163523980906</v>
      </c>
      <c r="F22" s="30">
        <f t="shared" si="3"/>
        <v>0.3460618622448979</v>
      </c>
      <c r="G22" s="10">
        <v>177.42</v>
      </c>
      <c r="H22" s="13">
        <f t="shared" si="4"/>
        <v>0.4034171808258187</v>
      </c>
      <c r="I22" s="30">
        <f t="shared" si="5"/>
        <v>0.45069501226492226</v>
      </c>
      <c r="J22" s="10">
        <v>158.96</v>
      </c>
      <c r="K22" s="13">
        <f t="shared" si="6"/>
        <v>0.3545803152961229</v>
      </c>
      <c r="L22" s="30">
        <f t="shared" si="7"/>
        <v>0.4399855059335085</v>
      </c>
      <c r="M22" s="10">
        <v>195.13</v>
      </c>
      <c r="N22" s="13">
        <f t="shared" si="8"/>
        <v>0.7143735723071518</v>
      </c>
      <c r="O22" s="30">
        <f t="shared" si="9"/>
        <v>0.7211784422686778</v>
      </c>
      <c r="P22" s="10"/>
      <c r="Q22" s="14">
        <f t="shared" si="0"/>
        <v>0.35969971045391685</v>
      </c>
      <c r="R22" s="24">
        <f t="shared" si="1"/>
        <v>0.4122474601477762</v>
      </c>
      <c r="S22" s="10"/>
      <c r="W22" s="15"/>
      <c r="X22" s="16"/>
      <c r="Y22" s="17"/>
    </row>
    <row r="23" spans="1:18" ht="11.25">
      <c r="A23" s="26" t="s">
        <v>3</v>
      </c>
      <c r="B23" s="1">
        <v>20</v>
      </c>
      <c r="C23" s="2" t="s">
        <v>22</v>
      </c>
      <c r="D23" s="3">
        <v>154.74</v>
      </c>
      <c r="E23" s="4">
        <f t="shared" si="2"/>
        <v>0.21070338784132692</v>
      </c>
      <c r="F23" s="29">
        <f t="shared" si="3"/>
        <v>0.23357780612244916</v>
      </c>
      <c r="G23" s="3">
        <v>157.79</v>
      </c>
      <c r="H23" s="4">
        <f t="shared" si="4"/>
        <v>0.248141116911881</v>
      </c>
      <c r="I23" s="29">
        <f t="shared" si="5"/>
        <v>0.290188062142273</v>
      </c>
      <c r="J23" s="3">
        <v>200.1</v>
      </c>
      <c r="K23" s="4">
        <f t="shared" si="6"/>
        <v>0.7051555176821473</v>
      </c>
      <c r="L23" s="29">
        <f t="shared" si="7"/>
        <v>0.8126641905969743</v>
      </c>
      <c r="M23" s="8">
        <v>192.56</v>
      </c>
      <c r="N23" s="7">
        <f t="shared" si="8"/>
        <v>0.6917940607977509</v>
      </c>
      <c r="O23" s="29">
        <f t="shared" si="9"/>
        <v>0.6985093058128251</v>
      </c>
      <c r="Q23" s="9">
        <f t="shared" si="0"/>
        <v>0.38354618851698624</v>
      </c>
      <c r="R23" s="23">
        <f t="shared" si="1"/>
        <v>0.407425058025849</v>
      </c>
    </row>
    <row r="24" spans="1:19" ht="11.25">
      <c r="A24" s="27" t="s">
        <v>3</v>
      </c>
      <c r="B24" s="11">
        <v>18</v>
      </c>
      <c r="C24" s="12" t="s">
        <v>20</v>
      </c>
      <c r="D24" s="10">
        <v>188.72</v>
      </c>
      <c r="E24" s="13">
        <f t="shared" si="2"/>
        <v>0.47656677881229936</v>
      </c>
      <c r="F24" s="30">
        <f t="shared" si="3"/>
        <v>0.5044642857142858</v>
      </c>
      <c r="G24" s="10">
        <v>275.63</v>
      </c>
      <c r="H24" s="13">
        <f t="shared" si="4"/>
        <v>1.1802721088435373</v>
      </c>
      <c r="I24" s="30">
        <f t="shared" si="5"/>
        <v>1.2537203597710547</v>
      </c>
      <c r="J24" s="10">
        <v>176.25</v>
      </c>
      <c r="K24" s="13">
        <f t="shared" si="6"/>
        <v>0.501917341286749</v>
      </c>
      <c r="L24" s="30">
        <f t="shared" si="7"/>
        <v>0.5966120119576048</v>
      </c>
      <c r="M24" s="10">
        <v>173.59</v>
      </c>
      <c r="N24" s="13">
        <f t="shared" si="8"/>
        <v>0.5251273941310843</v>
      </c>
      <c r="O24" s="30">
        <f t="shared" si="9"/>
        <v>0.5311810884713768</v>
      </c>
      <c r="P24" s="10"/>
      <c r="Q24" s="14">
        <f t="shared" si="0"/>
        <v>0.5012038380767109</v>
      </c>
      <c r="R24" s="24">
        <f t="shared" si="1"/>
        <v>0.544085795381089</v>
      </c>
      <c r="S24" s="10"/>
    </row>
    <row r="25" spans="1:25" ht="11.25">
      <c r="A25" s="26" t="s">
        <v>3</v>
      </c>
      <c r="B25" s="1">
        <v>17</v>
      </c>
      <c r="C25" s="2" t="s">
        <v>19</v>
      </c>
      <c r="D25" s="3">
        <v>197.8</v>
      </c>
      <c r="E25" s="4">
        <f t="shared" si="2"/>
        <v>0.5476097331977154</v>
      </c>
      <c r="F25" s="29">
        <f t="shared" si="3"/>
        <v>0.5768494897959184</v>
      </c>
      <c r="G25" s="3">
        <v>194.1</v>
      </c>
      <c r="H25" s="4">
        <f t="shared" si="4"/>
        <v>0.5353583293782629</v>
      </c>
      <c r="I25" s="29">
        <f t="shared" si="5"/>
        <v>0.5870809484873263</v>
      </c>
      <c r="J25" s="3">
        <v>178.64</v>
      </c>
      <c r="K25" s="4">
        <f t="shared" si="6"/>
        <v>0.5222837665104387</v>
      </c>
      <c r="L25" s="29">
        <f t="shared" si="7"/>
        <v>0.6182625237793278</v>
      </c>
      <c r="M25" s="8">
        <v>179.59</v>
      </c>
      <c r="N25" s="7">
        <f t="shared" si="8"/>
        <v>0.5778422069934985</v>
      </c>
      <c r="O25" s="29">
        <f t="shared" si="9"/>
        <v>0.5841051424539119</v>
      </c>
      <c r="Q25" s="9">
        <f t="shared" si="0"/>
        <v>0.5350839430288057</v>
      </c>
      <c r="R25" s="23">
        <f t="shared" si="1"/>
        <v>0.5826785269123855</v>
      </c>
      <c r="U25" s="15"/>
      <c r="V25" s="16"/>
      <c r="W25" s="17"/>
      <c r="X25" s="17"/>
      <c r="Y25" s="17"/>
    </row>
    <row r="26" spans="1:19" ht="11.25">
      <c r="A26" s="27" t="s">
        <v>3</v>
      </c>
      <c r="B26" s="11">
        <v>19</v>
      </c>
      <c r="C26" s="12" t="s">
        <v>21</v>
      </c>
      <c r="D26" s="10">
        <v>210.61</v>
      </c>
      <c r="E26" s="13">
        <f t="shared" si="2"/>
        <v>0.6478366325013694</v>
      </c>
      <c r="F26" s="30">
        <f t="shared" si="3"/>
        <v>0.6789700255102042</v>
      </c>
      <c r="G26" s="10">
        <v>224.38</v>
      </c>
      <c r="H26" s="13">
        <f t="shared" si="4"/>
        <v>0.774877392817592</v>
      </c>
      <c r="I26" s="30">
        <f t="shared" si="5"/>
        <v>0.8346688470973018</v>
      </c>
      <c r="J26" s="10">
        <v>518.9</v>
      </c>
      <c r="K26" s="13">
        <f t="shared" si="6"/>
        <v>3.4218150830847893</v>
      </c>
      <c r="L26" s="30">
        <f t="shared" si="7"/>
        <v>3.7006069390343326</v>
      </c>
      <c r="M26" s="10">
        <v>269.94</v>
      </c>
      <c r="N26" s="13">
        <f t="shared" si="8"/>
        <v>1.371639430680021</v>
      </c>
      <c r="O26" s="30">
        <f t="shared" si="9"/>
        <v>1.3810531886742523</v>
      </c>
      <c r="P26" s="10"/>
      <c r="Q26" s="14">
        <f t="shared" si="0"/>
        <v>0.9314511519996606</v>
      </c>
      <c r="R26" s="24">
        <f t="shared" si="1"/>
        <v>0.9648973537605862</v>
      </c>
      <c r="S26" s="10"/>
    </row>
    <row r="27" spans="13:15" ht="11.25">
      <c r="M27" s="8"/>
      <c r="N27" s="8"/>
      <c r="O27" s="31"/>
    </row>
    <row r="28" spans="6:15" ht="11.25">
      <c r="F28" s="5">
        <f>125.44*1.122</f>
        <v>140.74368</v>
      </c>
      <c r="I28" s="5">
        <f>122.3*1.122</f>
        <v>137.22060000000002</v>
      </c>
      <c r="L28" s="5">
        <f>110.39*1.122</f>
        <v>123.85758000000001</v>
      </c>
      <c r="M28" s="8"/>
      <c r="N28" s="8"/>
      <c r="O28" s="5">
        <f>113.37*1.122</f>
        <v>127.20114000000002</v>
      </c>
    </row>
    <row r="29" spans="1:19" ht="11.25">
      <c r="A29" s="26" t="s">
        <v>23</v>
      </c>
      <c r="B29" s="1">
        <v>3</v>
      </c>
      <c r="C29" s="2" t="s">
        <v>26</v>
      </c>
      <c r="D29" s="3">
        <v>146.23</v>
      </c>
      <c r="E29" s="4">
        <f>(D29/146.23)-1</f>
        <v>0</v>
      </c>
      <c r="F29" s="29">
        <f>(D29/140.74)-1</f>
        <v>0.039008100042631666</v>
      </c>
      <c r="G29" s="3">
        <v>144.22</v>
      </c>
      <c r="H29" s="4">
        <f>(G29/142.9)-1</f>
        <v>0.009237228831350475</v>
      </c>
      <c r="I29" s="29">
        <f>(G29/137.22)-1</f>
        <v>0.051012971869989876</v>
      </c>
      <c r="J29" s="3">
        <v>125.71</v>
      </c>
      <c r="K29" s="4">
        <f>(J29/123.86)-1</f>
        <v>0.01493621831099623</v>
      </c>
      <c r="L29" s="29">
        <f>(J29/123.86)-1</f>
        <v>0.01493621831099623</v>
      </c>
      <c r="M29" s="8">
        <v>127.4</v>
      </c>
      <c r="N29" s="7">
        <f>(M29/127.4)-1</f>
        <v>0</v>
      </c>
      <c r="O29" s="29">
        <f>(M29/127.2)-1</f>
        <v>0.0015723270440251014</v>
      </c>
      <c r="Q29" s="9">
        <f aca="true" t="shared" si="10" ref="Q29:Q37">(SUM(E29,H29,K29,N29)-MAX(E29,H29,K29,N29))/3</f>
        <v>0.0030790762771168247</v>
      </c>
      <c r="R29" s="23">
        <f aca="true" t="shared" si="11" ref="R29:R37">(SUM(F29,I29,L29,O29)-MAX(F29,I29,L29,O29))/3</f>
        <v>0.01850554846588433</v>
      </c>
      <c r="S29" s="3" t="s">
        <v>43</v>
      </c>
    </row>
    <row r="30" spans="1:19" ht="11.25">
      <c r="A30" s="27" t="s">
        <v>23</v>
      </c>
      <c r="B30" s="11">
        <v>1</v>
      </c>
      <c r="C30" s="12" t="s">
        <v>24</v>
      </c>
      <c r="D30" s="10">
        <v>150.92</v>
      </c>
      <c r="E30" s="13">
        <f aca="true" t="shared" si="12" ref="E30:E36">(D30/146.23)-1</f>
        <v>0.03207276208712306</v>
      </c>
      <c r="F30" s="30">
        <f aca="true" t="shared" si="13" ref="F30:F36">(D30/140.74)-1</f>
        <v>0.07233195964189276</v>
      </c>
      <c r="G30" s="10">
        <v>150.97</v>
      </c>
      <c r="H30" s="13">
        <f aca="true" t="shared" si="14" ref="H30:H37">(G30/142.9)-1</f>
        <v>0.05647305808257519</v>
      </c>
      <c r="I30" s="30">
        <f aca="true" t="shared" si="15" ref="I30:I37">(G30/137.22)-1</f>
        <v>0.10020405188748005</v>
      </c>
      <c r="J30" s="10">
        <v>123.86</v>
      </c>
      <c r="K30" s="13">
        <f aca="true" t="shared" si="16" ref="K30:K37">(J30/123.86)-1</f>
        <v>0</v>
      </c>
      <c r="L30" s="30">
        <f aca="true" t="shared" si="17" ref="L30:L37">(J30/123.86)-1</f>
        <v>0</v>
      </c>
      <c r="M30" s="10">
        <v>129.69</v>
      </c>
      <c r="N30" s="13">
        <f aca="true" t="shared" si="18" ref="N30:N36">(M30/127.4)-1</f>
        <v>0.017974882260596514</v>
      </c>
      <c r="O30" s="30">
        <f aca="true" t="shared" si="19" ref="O30:O36">(M30/127.2)-1</f>
        <v>0.019575471698113134</v>
      </c>
      <c r="P30" s="10"/>
      <c r="Q30" s="14">
        <f t="shared" si="10"/>
        <v>0.016682548115906526</v>
      </c>
      <c r="R30" s="24">
        <f t="shared" si="11"/>
        <v>0.030635810446668632</v>
      </c>
      <c r="S30" s="10" t="s">
        <v>43</v>
      </c>
    </row>
    <row r="31" spans="1:19" ht="11.25">
      <c r="A31" s="26" t="s">
        <v>23</v>
      </c>
      <c r="B31" s="1">
        <v>4</v>
      </c>
      <c r="C31" s="2" t="s">
        <v>27</v>
      </c>
      <c r="D31" s="3">
        <v>152.21</v>
      </c>
      <c r="E31" s="4">
        <f t="shared" si="12"/>
        <v>0.04089448129658768</v>
      </c>
      <c r="F31" s="29">
        <f t="shared" si="13"/>
        <v>0.08149779735682827</v>
      </c>
      <c r="G31" s="3">
        <v>142.9</v>
      </c>
      <c r="H31" s="4">
        <f t="shared" si="14"/>
        <v>0</v>
      </c>
      <c r="I31" s="29">
        <f t="shared" si="15"/>
        <v>0.041393382888791797</v>
      </c>
      <c r="J31" s="3">
        <v>135.73</v>
      </c>
      <c r="K31" s="4">
        <f t="shared" si="16"/>
        <v>0.09583400613595994</v>
      </c>
      <c r="L31" s="29">
        <f t="shared" si="17"/>
        <v>0.09583400613595994</v>
      </c>
      <c r="M31" s="8">
        <v>133.9</v>
      </c>
      <c r="N31" s="7">
        <f t="shared" si="18"/>
        <v>0.05102040816326525</v>
      </c>
      <c r="O31" s="29">
        <f t="shared" si="19"/>
        <v>0.052672955974842894</v>
      </c>
      <c r="Q31" s="9">
        <f t="shared" si="10"/>
        <v>0.030638296486617644</v>
      </c>
      <c r="R31" s="23">
        <f t="shared" si="11"/>
        <v>0.05852137874015432</v>
      </c>
      <c r="S31" s="3" t="s">
        <v>43</v>
      </c>
    </row>
    <row r="32" spans="1:19" ht="11.25">
      <c r="A32" s="27" t="s">
        <v>23</v>
      </c>
      <c r="B32" s="11">
        <v>2</v>
      </c>
      <c r="C32" s="12" t="s">
        <v>25</v>
      </c>
      <c r="D32" s="10">
        <v>162.74</v>
      </c>
      <c r="E32" s="13">
        <f t="shared" si="12"/>
        <v>0.11290432879710055</v>
      </c>
      <c r="F32" s="30">
        <f t="shared" si="13"/>
        <v>0.15631661219269577</v>
      </c>
      <c r="G32" s="10">
        <v>145.58</v>
      </c>
      <c r="H32" s="13">
        <f t="shared" si="14"/>
        <v>0.018754373687893677</v>
      </c>
      <c r="I32" s="30">
        <f t="shared" si="15"/>
        <v>0.06092406354758784</v>
      </c>
      <c r="J32" s="10">
        <v>193.91</v>
      </c>
      <c r="K32" s="13">
        <f t="shared" si="16"/>
        <v>0.5655578879379946</v>
      </c>
      <c r="L32" s="30">
        <f t="shared" si="17"/>
        <v>0.5655578879379946</v>
      </c>
      <c r="M32" s="10">
        <v>131.55</v>
      </c>
      <c r="N32" s="13">
        <f t="shared" si="18"/>
        <v>0.03257456828885408</v>
      </c>
      <c r="O32" s="30">
        <f t="shared" si="19"/>
        <v>0.03419811320754729</v>
      </c>
      <c r="P32" s="10"/>
      <c r="Q32" s="14">
        <f t="shared" si="10"/>
        <v>0.054744423591282766</v>
      </c>
      <c r="R32" s="24">
        <f t="shared" si="11"/>
        <v>0.08381292964927696</v>
      </c>
      <c r="S32" s="10" t="s">
        <v>44</v>
      </c>
    </row>
    <row r="33" spans="1:19" ht="11.25">
      <c r="A33" s="26" t="s">
        <v>23</v>
      </c>
      <c r="B33" s="1">
        <v>6</v>
      </c>
      <c r="C33" s="2" t="s">
        <v>29</v>
      </c>
      <c r="D33" s="3">
        <v>170.86</v>
      </c>
      <c r="E33" s="4">
        <f t="shared" si="12"/>
        <v>0.16843329002256735</v>
      </c>
      <c r="F33" s="29">
        <f t="shared" si="13"/>
        <v>0.214011652692909</v>
      </c>
      <c r="G33" s="3">
        <v>174.05</v>
      </c>
      <c r="H33" s="4">
        <f t="shared" si="14"/>
        <v>0.21798460461861446</v>
      </c>
      <c r="I33" s="29">
        <f t="shared" si="15"/>
        <v>0.2684011077102464</v>
      </c>
      <c r="J33" s="3">
        <v>211.64</v>
      </c>
      <c r="K33" s="4">
        <f t="shared" si="16"/>
        <v>0.708703374777975</v>
      </c>
      <c r="L33" s="29">
        <f t="shared" si="17"/>
        <v>0.708703374777975</v>
      </c>
      <c r="M33" s="8">
        <v>158.7</v>
      </c>
      <c r="N33" s="7">
        <f t="shared" si="18"/>
        <v>0.24568288854003129</v>
      </c>
      <c r="O33" s="29">
        <f t="shared" si="19"/>
        <v>0.24764150943396213</v>
      </c>
      <c r="Q33" s="9">
        <f t="shared" si="10"/>
        <v>0.21070026106040438</v>
      </c>
      <c r="R33" s="23">
        <f t="shared" si="11"/>
        <v>0.24335142327903916</v>
      </c>
      <c r="S33" s="3" t="s">
        <v>44</v>
      </c>
    </row>
    <row r="34" spans="1:19" ht="11.25">
      <c r="A34" s="27" t="s">
        <v>23</v>
      </c>
      <c r="B34" s="11">
        <v>5</v>
      </c>
      <c r="C34" s="12" t="s">
        <v>28</v>
      </c>
      <c r="D34" s="10">
        <v>228.05</v>
      </c>
      <c r="E34" s="13">
        <f t="shared" si="12"/>
        <v>0.5595295083088287</v>
      </c>
      <c r="F34" s="30">
        <f t="shared" si="13"/>
        <v>0.6203637913883757</v>
      </c>
      <c r="G34" s="10">
        <v>158.8</v>
      </c>
      <c r="H34" s="13">
        <f t="shared" si="14"/>
        <v>0.11126662001399579</v>
      </c>
      <c r="I34" s="30">
        <f t="shared" si="15"/>
        <v>0.15726570470776857</v>
      </c>
      <c r="J34" s="10">
        <v>229.36</v>
      </c>
      <c r="K34" s="13">
        <f t="shared" si="16"/>
        <v>0.8517681253027614</v>
      </c>
      <c r="L34" s="30">
        <f t="shared" si="17"/>
        <v>0.8517681253027614</v>
      </c>
      <c r="M34" s="10">
        <v>149.8</v>
      </c>
      <c r="N34" s="13">
        <f t="shared" si="18"/>
        <v>0.17582417582417587</v>
      </c>
      <c r="O34" s="30">
        <f t="shared" si="19"/>
        <v>0.1776729559748429</v>
      </c>
      <c r="P34" s="10"/>
      <c r="Q34" s="14">
        <f t="shared" si="10"/>
        <v>0.28220676804900013</v>
      </c>
      <c r="R34" s="24">
        <f t="shared" si="11"/>
        <v>0.31843415069032904</v>
      </c>
      <c r="S34" s="10"/>
    </row>
    <row r="35" spans="1:18" ht="11.25">
      <c r="A35" s="26" t="s">
        <v>23</v>
      </c>
      <c r="B35" s="1">
        <v>8</v>
      </c>
      <c r="C35" s="2" t="s">
        <v>11</v>
      </c>
      <c r="D35" s="3">
        <v>219.42</v>
      </c>
      <c r="E35" s="4">
        <f t="shared" si="12"/>
        <v>0.5005128906517131</v>
      </c>
      <c r="F35" s="29">
        <f t="shared" si="13"/>
        <v>0.5590450476055135</v>
      </c>
      <c r="G35" s="3">
        <v>213.93</v>
      </c>
      <c r="H35" s="4">
        <f t="shared" si="14"/>
        <v>0.49706088173547935</v>
      </c>
      <c r="I35" s="29">
        <f t="shared" si="15"/>
        <v>0.5590292960209882</v>
      </c>
      <c r="J35" s="3" t="s">
        <v>31</v>
      </c>
      <c r="K35" s="4">
        <v>9.9999</v>
      </c>
      <c r="L35" s="29">
        <v>9.9999</v>
      </c>
      <c r="M35" s="8">
        <v>286.65</v>
      </c>
      <c r="N35" s="7">
        <f t="shared" si="18"/>
        <v>1.2499999999999996</v>
      </c>
      <c r="O35" s="29">
        <f t="shared" si="19"/>
        <v>1.2535377358490565</v>
      </c>
      <c r="Q35" s="9">
        <f t="shared" si="10"/>
        <v>0.7491912574623972</v>
      </c>
      <c r="R35" s="23">
        <f t="shared" si="11"/>
        <v>0.7905373598251858</v>
      </c>
    </row>
    <row r="36" spans="1:19" ht="11.25">
      <c r="A36" s="27" t="s">
        <v>23</v>
      </c>
      <c r="B36" s="11">
        <v>9</v>
      </c>
      <c r="C36" s="12" t="s">
        <v>32</v>
      </c>
      <c r="D36" s="10">
        <v>346.61</v>
      </c>
      <c r="E36" s="13">
        <f t="shared" si="12"/>
        <v>1.3703070505368258</v>
      </c>
      <c r="F36" s="30">
        <f t="shared" si="13"/>
        <v>1.4627682250959215</v>
      </c>
      <c r="G36" s="10">
        <v>431</v>
      </c>
      <c r="H36" s="13">
        <f t="shared" si="14"/>
        <v>2.016095171448565</v>
      </c>
      <c r="I36" s="30">
        <f t="shared" si="15"/>
        <v>2.140941553709372</v>
      </c>
      <c r="J36" s="10">
        <v>405.88</v>
      </c>
      <c r="K36" s="13">
        <f t="shared" si="16"/>
        <v>2.2769255611173906</v>
      </c>
      <c r="L36" s="30">
        <f t="shared" si="17"/>
        <v>2.2769255611173906</v>
      </c>
      <c r="M36" s="10">
        <v>500.91</v>
      </c>
      <c r="N36" s="13">
        <f t="shared" si="18"/>
        <v>2.931789638932496</v>
      </c>
      <c r="O36" s="30">
        <f t="shared" si="19"/>
        <v>2.937971698113208</v>
      </c>
      <c r="P36" s="10"/>
      <c r="Q36" s="14">
        <f t="shared" si="10"/>
        <v>1.8877759277009272</v>
      </c>
      <c r="R36" s="24">
        <f t="shared" si="11"/>
        <v>1.9602117799742278</v>
      </c>
      <c r="S36" s="10"/>
    </row>
    <row r="37" spans="1:18" ht="11.25">
      <c r="A37" s="26" t="s">
        <v>23</v>
      </c>
      <c r="B37" s="1">
        <v>7</v>
      </c>
      <c r="C37" s="2" t="s">
        <v>30</v>
      </c>
      <c r="D37" s="3" t="s">
        <v>31</v>
      </c>
      <c r="E37" s="4">
        <v>9.9999</v>
      </c>
      <c r="F37" s="29">
        <v>9.9999</v>
      </c>
      <c r="G37" s="3">
        <v>221.89</v>
      </c>
      <c r="H37" s="4">
        <f t="shared" si="14"/>
        <v>0.5527641707487752</v>
      </c>
      <c r="I37" s="29">
        <f t="shared" si="15"/>
        <v>0.6170383326045765</v>
      </c>
      <c r="J37" s="3">
        <v>178.14</v>
      </c>
      <c r="K37" s="4">
        <f t="shared" si="16"/>
        <v>0.43823671887615046</v>
      </c>
      <c r="L37" s="29">
        <f t="shared" si="17"/>
        <v>0.43823671887615046</v>
      </c>
      <c r="M37" s="8" t="s">
        <v>31</v>
      </c>
      <c r="N37" s="7">
        <v>9.9999</v>
      </c>
      <c r="O37" s="29">
        <v>9.9999</v>
      </c>
      <c r="Q37" s="9">
        <f t="shared" si="10"/>
        <v>3.6636336298749748</v>
      </c>
      <c r="R37" s="23">
        <f t="shared" si="11"/>
        <v>3.6850583504935757</v>
      </c>
    </row>
    <row r="38" spans="1:19" ht="11.25">
      <c r="A38" s="28"/>
      <c r="B38" s="18"/>
      <c r="C38" s="19"/>
      <c r="D38" s="20"/>
      <c r="E38" s="20"/>
      <c r="F38" s="20"/>
      <c r="G38" s="20"/>
      <c r="H38" s="21"/>
      <c r="I38" s="20"/>
      <c r="J38" s="20"/>
      <c r="K38" s="21"/>
      <c r="L38" s="20"/>
      <c r="M38" s="6"/>
      <c r="N38" s="6"/>
      <c r="O38" s="20"/>
      <c r="P38" s="20"/>
      <c r="Q38" s="22"/>
      <c r="R38" s="25"/>
      <c r="S38" s="20"/>
    </row>
    <row r="39" spans="6:15" ht="11.25">
      <c r="F39" s="5">
        <f>125.44*1.1143</f>
        <v>139.777792</v>
      </c>
      <c r="I39" s="5">
        <f>122.3*1.1143</f>
        <v>136.27889000000002</v>
      </c>
      <c r="L39" s="5">
        <f>110.39*1.1143</f>
        <v>123.00757700000001</v>
      </c>
      <c r="M39" s="8"/>
      <c r="N39" s="8"/>
      <c r="O39" s="5">
        <f>113.37*1.1143</f>
        <v>126.32819100000002</v>
      </c>
    </row>
    <row r="40" spans="1:19" ht="11.25">
      <c r="A40" s="26" t="s">
        <v>33</v>
      </c>
      <c r="B40" s="1">
        <v>1</v>
      </c>
      <c r="C40" s="2" t="s">
        <v>34</v>
      </c>
      <c r="D40" s="3">
        <v>139.78</v>
      </c>
      <c r="E40" s="4">
        <v>0</v>
      </c>
      <c r="F40" s="29">
        <v>0</v>
      </c>
      <c r="G40" s="3">
        <v>136.28</v>
      </c>
      <c r="H40" s="4">
        <v>0</v>
      </c>
      <c r="I40" s="29">
        <v>0</v>
      </c>
      <c r="J40" s="3">
        <v>127.89</v>
      </c>
      <c r="K40" s="4">
        <v>0</v>
      </c>
      <c r="L40" s="29">
        <f>(J40/123.01)-1</f>
        <v>0.039671571416957985</v>
      </c>
      <c r="M40" s="8">
        <v>126.33</v>
      </c>
      <c r="N40" s="7">
        <v>0</v>
      </c>
      <c r="O40" s="29">
        <v>0</v>
      </c>
      <c r="Q40" s="9">
        <f>(SUM(E40,H40,K40,N40)-MAX(E40,H40,K40,N40))/3</f>
        <v>0</v>
      </c>
      <c r="R40" s="23">
        <f>(SUM(F40,I40,L40,O40)-MAX(F40,I40,L40,O40))/3</f>
        <v>0</v>
      </c>
      <c r="S40" s="3" t="s">
        <v>43</v>
      </c>
    </row>
    <row r="41" spans="13:14" ht="11.25">
      <c r="M41" s="8"/>
      <c r="N41" s="8"/>
    </row>
    <row r="42" spans="13:14" ht="11.25">
      <c r="M42" s="8"/>
      <c r="N42" s="8"/>
    </row>
  </sheetData>
  <printOptions/>
  <pageMargins left="0.31" right="0.47" top="0.52" bottom="0.56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75" zoomScaleNormal="75" workbookViewId="0" topLeftCell="A1">
      <selection activeCell="V37" sqref="V37"/>
    </sheetView>
  </sheetViews>
  <sheetFormatPr defaultColWidth="9.140625" defaultRowHeight="12.75"/>
  <cols>
    <col min="1" max="1" width="4.28125" style="2" customWidth="1"/>
    <col min="2" max="2" width="3.28125" style="2" customWidth="1"/>
    <col min="3" max="3" width="8.00390625" style="2" customWidth="1"/>
    <col min="4" max="15" width="7.7109375" style="2" customWidth="1"/>
    <col min="16" max="16" width="2.140625" style="2" customWidth="1"/>
    <col min="17" max="17" width="8.8515625" style="2" customWidth="1"/>
    <col min="18" max="18" width="7.7109375" style="2" customWidth="1"/>
    <col min="19" max="19" width="4.8515625" style="2" customWidth="1"/>
    <col min="20" max="16384" width="9.140625" style="2" customWidth="1"/>
  </cols>
  <sheetData>
    <row r="1" spans="1:25" s="17" customFormat="1" ht="11.25">
      <c r="A1" s="26" t="s">
        <v>50</v>
      </c>
      <c r="B1" s="1" t="s">
        <v>48</v>
      </c>
      <c r="C1" s="2" t="s">
        <v>49</v>
      </c>
      <c r="D1" s="3" t="s">
        <v>35</v>
      </c>
      <c r="E1" s="3" t="s">
        <v>36</v>
      </c>
      <c r="F1" s="3" t="s">
        <v>40</v>
      </c>
      <c r="G1" s="3" t="s">
        <v>37</v>
      </c>
      <c r="H1" s="4" t="s">
        <v>39</v>
      </c>
      <c r="I1" s="3" t="s">
        <v>40</v>
      </c>
      <c r="J1" s="3" t="s">
        <v>41</v>
      </c>
      <c r="K1" s="4" t="s">
        <v>42</v>
      </c>
      <c r="L1" s="3" t="s">
        <v>40</v>
      </c>
      <c r="M1" s="3" t="s">
        <v>46</v>
      </c>
      <c r="N1" s="3" t="s">
        <v>47</v>
      </c>
      <c r="O1" s="3" t="s">
        <v>40</v>
      </c>
      <c r="P1" s="3"/>
      <c r="Q1" s="9" t="s">
        <v>45</v>
      </c>
      <c r="R1" s="23" t="s">
        <v>38</v>
      </c>
      <c r="S1" s="3"/>
      <c r="T1" s="8"/>
      <c r="U1" s="8"/>
      <c r="V1" s="8"/>
      <c r="W1" s="8"/>
      <c r="X1" s="15"/>
      <c r="Y1" s="16"/>
    </row>
    <row r="3" spans="1:25" s="17" customFormat="1" ht="11.25">
      <c r="A3" s="26"/>
      <c r="B3" s="1"/>
      <c r="C3" s="2"/>
      <c r="D3" s="3"/>
      <c r="E3" s="3"/>
      <c r="F3" s="5">
        <f>144.11*1.0463</f>
        <v>150.782293</v>
      </c>
      <c r="G3" s="3"/>
      <c r="H3" s="4"/>
      <c r="I3" s="5">
        <f>150.58*1.0463</f>
        <v>157.55185400000002</v>
      </c>
      <c r="J3" s="3"/>
      <c r="K3" s="4"/>
      <c r="L3" s="5">
        <f>128.71*1.0463</f>
        <v>134.669273</v>
      </c>
      <c r="M3" s="6"/>
      <c r="N3" s="6"/>
      <c r="O3" s="5">
        <f>131.86*1.0463</f>
        <v>137.96511800000002</v>
      </c>
      <c r="P3" s="3"/>
      <c r="Q3" s="32"/>
      <c r="R3" s="4"/>
      <c r="S3" s="3"/>
      <c r="T3" s="8"/>
      <c r="U3" s="8"/>
      <c r="V3" s="8"/>
      <c r="W3" s="8"/>
      <c r="X3" s="15"/>
      <c r="Y3" s="16"/>
    </row>
    <row r="4" spans="1:25" s="17" customFormat="1" ht="11.25">
      <c r="A4" s="26" t="s">
        <v>0</v>
      </c>
      <c r="B4" s="1">
        <v>1</v>
      </c>
      <c r="C4" s="2" t="s">
        <v>2</v>
      </c>
      <c r="D4" s="3">
        <v>253.4</v>
      </c>
      <c r="E4" s="4">
        <f>(D4/167.35)-1</f>
        <v>0.5141918135643861</v>
      </c>
      <c r="F4" s="29">
        <f>(D4/150.78)-1</f>
        <v>0.6805942432683381</v>
      </c>
      <c r="G4" s="3">
        <v>157.55</v>
      </c>
      <c r="H4" s="4">
        <f>(G4/157.55)-1</f>
        <v>0</v>
      </c>
      <c r="I4" s="29">
        <f>(G4/157.55)-1</f>
        <v>0</v>
      </c>
      <c r="J4" s="3">
        <v>145.63</v>
      </c>
      <c r="K4" s="4">
        <f>(J4/145.63)-1</f>
        <v>0</v>
      </c>
      <c r="L4" s="29">
        <f>(J4/134.67)-1</f>
        <v>0.0813841241553428</v>
      </c>
      <c r="M4" s="8">
        <v>137.97</v>
      </c>
      <c r="N4" s="7">
        <f>(M4/137.97)-1</f>
        <v>0</v>
      </c>
      <c r="O4" s="29">
        <f>(M4/137.97)-1</f>
        <v>0</v>
      </c>
      <c r="P4" s="3"/>
      <c r="Q4" s="32">
        <f>(SUM(E4,H4,K4,N4)-MAX(E4,H4,K4,N4))/3</f>
        <v>0</v>
      </c>
      <c r="R4" s="4">
        <f>(SUM(F4,I4,L4,O4)-MAX(F4,I4,L4,O4))/3</f>
        <v>0.027128041385114265</v>
      </c>
      <c r="S4" s="3" t="s">
        <v>44</v>
      </c>
      <c r="T4" s="8"/>
      <c r="U4" s="8"/>
      <c r="V4" s="8"/>
      <c r="W4" s="8"/>
      <c r="X4" s="15"/>
      <c r="Y4" s="16"/>
    </row>
    <row r="5" spans="1:25" s="17" customFormat="1" ht="11.25">
      <c r="A5" s="27" t="s">
        <v>0</v>
      </c>
      <c r="B5" s="11">
        <v>2</v>
      </c>
      <c r="C5" s="12" t="s">
        <v>1</v>
      </c>
      <c r="D5" s="10">
        <v>167.35</v>
      </c>
      <c r="E5" s="13">
        <f>(D5/167.35)-1</f>
        <v>0</v>
      </c>
      <c r="F5" s="30">
        <f>(D5/150.78)-1</f>
        <v>0.10989521156652082</v>
      </c>
      <c r="G5" s="10">
        <v>178.78</v>
      </c>
      <c r="H5" s="13">
        <f>(G5/157.55)-1</f>
        <v>0.13475087273881292</v>
      </c>
      <c r="I5" s="30">
        <f>(G5/157.55)-1</f>
        <v>0.13475087273881292</v>
      </c>
      <c r="J5" s="10">
        <v>190.5</v>
      </c>
      <c r="K5" s="13">
        <f>(J5/145.63)-1</f>
        <v>0.30810959280368055</v>
      </c>
      <c r="L5" s="30">
        <f>(J5/134.67)-1</f>
        <v>0.4145689463132103</v>
      </c>
      <c r="M5" s="10">
        <v>210.83</v>
      </c>
      <c r="N5" s="13">
        <f>(M5/137.97)-1</f>
        <v>0.5280858157570487</v>
      </c>
      <c r="O5" s="30">
        <f>(M5/137.97)-1</f>
        <v>0.5280858157570487</v>
      </c>
      <c r="P5" s="10"/>
      <c r="Q5" s="33">
        <f>(SUM(E5,H5,K5,N5)-MAX(E5,H5,K5,N5))/3</f>
        <v>0.14762015518083116</v>
      </c>
      <c r="R5" s="13">
        <f>(SUM(F5,I5,L5,O5)-MAX(F5,I5,L5,O5))/3</f>
        <v>0.21973834353951469</v>
      </c>
      <c r="S5" s="10"/>
      <c r="T5" s="8"/>
      <c r="U5" s="8"/>
      <c r="V5" s="8"/>
      <c r="W5" s="8"/>
      <c r="X5" s="15"/>
      <c r="Y5" s="16"/>
    </row>
    <row r="9" spans="6:15" ht="11.25">
      <c r="F9" s="36">
        <v>144.11</v>
      </c>
      <c r="I9" s="36">
        <v>150.58</v>
      </c>
      <c r="L9" s="36">
        <v>128.71</v>
      </c>
      <c r="O9" s="36">
        <v>131.86</v>
      </c>
    </row>
    <row r="10" spans="1:25" s="17" customFormat="1" ht="11.25">
      <c r="A10" s="26" t="s">
        <v>3</v>
      </c>
      <c r="B10" s="1">
        <v>11</v>
      </c>
      <c r="C10" s="2" t="s">
        <v>13</v>
      </c>
      <c r="D10" s="3">
        <v>144.11</v>
      </c>
      <c r="E10" s="4">
        <f aca="true" t="shared" si="0" ref="E10:E15">(D10/144.11)-1</f>
        <v>0</v>
      </c>
      <c r="F10" s="29">
        <f aca="true" t="shared" si="1" ref="F10:F15">(D10/144.11)-1</f>
        <v>0</v>
      </c>
      <c r="G10" s="3">
        <v>154.45</v>
      </c>
      <c r="H10" s="4">
        <f aca="true" t="shared" si="2" ref="H10:H15">(G10/152.77)-1</f>
        <v>0.010996923479740683</v>
      </c>
      <c r="I10" s="29">
        <f aca="true" t="shared" si="3" ref="I10:I15">(G10/150.58)-1</f>
        <v>0.02570062425288877</v>
      </c>
      <c r="J10" s="3">
        <v>128.71</v>
      </c>
      <c r="K10" s="4">
        <f aca="true" t="shared" si="4" ref="K10:K15">(J10/128.71)-1</f>
        <v>0</v>
      </c>
      <c r="L10" s="29">
        <f aca="true" t="shared" si="5" ref="L10:L15">(J10/128.71)-1</f>
        <v>0</v>
      </c>
      <c r="M10" s="8">
        <v>132.72</v>
      </c>
      <c r="N10" s="7">
        <f aca="true" t="shared" si="6" ref="N10:N15">(M10/132.72)-1</f>
        <v>0</v>
      </c>
      <c r="O10" s="29">
        <f aca="true" t="shared" si="7" ref="O10:O15">(M10/131.86)-1</f>
        <v>0.0065220688609128885</v>
      </c>
      <c r="P10" s="3"/>
      <c r="Q10" s="32">
        <f aca="true" t="shared" si="8" ref="Q10:R15">(SUM(E10,H10,K10,N10)-MAX(E10,H10,K10,N10))/3</f>
        <v>0</v>
      </c>
      <c r="R10" s="4">
        <f t="shared" si="8"/>
        <v>0.0021740229536376296</v>
      </c>
      <c r="S10" s="3" t="s">
        <v>44</v>
      </c>
      <c r="T10" s="8"/>
      <c r="U10" s="8"/>
      <c r="V10" s="8"/>
      <c r="W10" s="8"/>
      <c r="X10" s="15"/>
      <c r="Y10" s="16"/>
    </row>
    <row r="11" spans="1:25" s="17" customFormat="1" ht="11.25">
      <c r="A11" s="27" t="s">
        <v>3</v>
      </c>
      <c r="B11" s="11">
        <v>10</v>
      </c>
      <c r="C11" s="12" t="s">
        <v>12</v>
      </c>
      <c r="D11" s="10">
        <v>157.95</v>
      </c>
      <c r="E11" s="13">
        <f t="shared" si="0"/>
        <v>0.0960377489417803</v>
      </c>
      <c r="F11" s="30">
        <f t="shared" si="1"/>
        <v>0.0960377489417803</v>
      </c>
      <c r="G11" s="10">
        <v>152.77</v>
      </c>
      <c r="H11" s="13">
        <f t="shared" si="2"/>
        <v>0</v>
      </c>
      <c r="I11" s="30">
        <f t="shared" si="3"/>
        <v>0.014543764112099788</v>
      </c>
      <c r="J11" s="10">
        <v>149.77</v>
      </c>
      <c r="K11" s="13">
        <f t="shared" si="4"/>
        <v>0.16362365006603996</v>
      </c>
      <c r="L11" s="30">
        <f t="shared" si="5"/>
        <v>0.16362365006603996</v>
      </c>
      <c r="M11" s="10">
        <v>196.66</v>
      </c>
      <c r="N11" s="13">
        <f t="shared" si="6"/>
        <v>0.48176612417118747</v>
      </c>
      <c r="O11" s="30">
        <f t="shared" si="7"/>
        <v>0.4914303048688</v>
      </c>
      <c r="P11" s="10"/>
      <c r="Q11" s="33">
        <f t="shared" si="8"/>
        <v>0.08655379966927342</v>
      </c>
      <c r="R11" s="13">
        <f t="shared" si="8"/>
        <v>0.09140172103997335</v>
      </c>
      <c r="S11" s="10"/>
      <c r="T11" s="8"/>
      <c r="U11" s="8"/>
      <c r="V11" s="8"/>
      <c r="W11" s="8"/>
      <c r="X11" s="15"/>
      <c r="Y11" s="16"/>
    </row>
    <row r="12" spans="1:25" s="17" customFormat="1" ht="11.25">
      <c r="A12" s="26" t="s">
        <v>3</v>
      </c>
      <c r="B12" s="1">
        <v>14</v>
      </c>
      <c r="C12" s="2" t="s">
        <v>16</v>
      </c>
      <c r="D12" s="3">
        <v>197.93</v>
      </c>
      <c r="E12" s="4">
        <f t="shared" si="0"/>
        <v>0.37346471445423624</v>
      </c>
      <c r="F12" s="29">
        <f t="shared" si="1"/>
        <v>0.37346471445423624</v>
      </c>
      <c r="G12" s="3">
        <v>171.59</v>
      </c>
      <c r="H12" s="4">
        <f t="shared" si="2"/>
        <v>0.12319172612423901</v>
      </c>
      <c r="I12" s="29">
        <f t="shared" si="3"/>
        <v>0.13952716164165224</v>
      </c>
      <c r="J12" s="3">
        <v>154.69</v>
      </c>
      <c r="K12" s="4">
        <f t="shared" si="4"/>
        <v>0.20184911817263607</v>
      </c>
      <c r="L12" s="29">
        <f t="shared" si="5"/>
        <v>0.20184911817263607</v>
      </c>
      <c r="M12" s="8">
        <v>144.97</v>
      </c>
      <c r="N12" s="7">
        <f t="shared" si="6"/>
        <v>0.09229957805907163</v>
      </c>
      <c r="O12" s="29">
        <f t="shared" si="7"/>
        <v>0.09942363112391917</v>
      </c>
      <c r="P12" s="3"/>
      <c r="Q12" s="32">
        <f t="shared" si="8"/>
        <v>0.1391134741186489</v>
      </c>
      <c r="R12" s="4">
        <f t="shared" si="8"/>
        <v>0.14693330364606916</v>
      </c>
      <c r="S12" s="3"/>
      <c r="T12" s="8"/>
      <c r="U12" s="8"/>
      <c r="V12" s="8"/>
      <c r="W12" s="8"/>
      <c r="X12" s="15"/>
      <c r="Y12" s="16"/>
    </row>
    <row r="13" spans="1:24" s="17" customFormat="1" ht="11.25">
      <c r="A13" s="27" t="s">
        <v>3</v>
      </c>
      <c r="B13" s="11">
        <v>16</v>
      </c>
      <c r="C13" s="12" t="s">
        <v>18</v>
      </c>
      <c r="D13" s="10">
        <v>168.85</v>
      </c>
      <c r="E13" s="13">
        <f t="shared" si="0"/>
        <v>0.17167441537714234</v>
      </c>
      <c r="F13" s="30">
        <f t="shared" si="1"/>
        <v>0.17167441537714234</v>
      </c>
      <c r="G13" s="10">
        <v>177.42</v>
      </c>
      <c r="H13" s="13">
        <f t="shared" si="2"/>
        <v>0.16135366891405356</v>
      </c>
      <c r="I13" s="30">
        <f t="shared" si="3"/>
        <v>0.17824412272546142</v>
      </c>
      <c r="J13" s="10">
        <v>158.96</v>
      </c>
      <c r="K13" s="13">
        <f t="shared" si="4"/>
        <v>0.23502447362287304</v>
      </c>
      <c r="L13" s="30">
        <f t="shared" si="5"/>
        <v>0.23502447362287304</v>
      </c>
      <c r="M13" s="10">
        <v>195.13</v>
      </c>
      <c r="N13" s="13">
        <f t="shared" si="6"/>
        <v>0.4702380952380951</v>
      </c>
      <c r="O13" s="30">
        <f t="shared" si="7"/>
        <v>0.47982708933717566</v>
      </c>
      <c r="P13" s="10"/>
      <c r="Q13" s="33">
        <f t="shared" si="8"/>
        <v>0.18935085263802298</v>
      </c>
      <c r="R13" s="13">
        <f t="shared" si="8"/>
        <v>0.19498100390849227</v>
      </c>
      <c r="S13" s="10"/>
      <c r="T13" s="8"/>
      <c r="U13" s="8"/>
      <c r="V13" s="8"/>
      <c r="W13" s="15"/>
      <c r="X13" s="16"/>
    </row>
    <row r="14" spans="1:25" s="17" customFormat="1" ht="11.25">
      <c r="A14" s="34" t="s">
        <v>3</v>
      </c>
      <c r="B14" s="16">
        <v>18</v>
      </c>
      <c r="C14" s="17" t="s">
        <v>20</v>
      </c>
      <c r="D14" s="8">
        <v>188.72</v>
      </c>
      <c r="E14" s="4">
        <f t="shared" si="0"/>
        <v>0.3095552008882103</v>
      </c>
      <c r="F14" s="29">
        <f t="shared" si="1"/>
        <v>0.3095552008882103</v>
      </c>
      <c r="G14" s="8">
        <v>275.63</v>
      </c>
      <c r="H14" s="4">
        <f t="shared" si="2"/>
        <v>0.8042154873339005</v>
      </c>
      <c r="I14" s="29">
        <f t="shared" si="3"/>
        <v>0.830455571789082</v>
      </c>
      <c r="J14" s="8">
        <v>176.25</v>
      </c>
      <c r="K14" s="4">
        <f t="shared" si="4"/>
        <v>0.36935747028202925</v>
      </c>
      <c r="L14" s="29">
        <f t="shared" si="5"/>
        <v>0.36935747028202925</v>
      </c>
      <c r="M14" s="8">
        <v>173.59</v>
      </c>
      <c r="N14" s="7">
        <f t="shared" si="6"/>
        <v>0.30794153104279687</v>
      </c>
      <c r="O14" s="29">
        <f t="shared" si="7"/>
        <v>0.31647201577430595</v>
      </c>
      <c r="P14" s="8"/>
      <c r="Q14" s="35">
        <f t="shared" si="8"/>
        <v>0.3289514007376788</v>
      </c>
      <c r="R14" s="7">
        <f t="shared" si="8"/>
        <v>0.3317948956481818</v>
      </c>
      <c r="S14" s="8"/>
      <c r="T14" s="8"/>
      <c r="U14" s="8"/>
      <c r="V14" s="8"/>
      <c r="W14" s="8"/>
      <c r="X14" s="15"/>
      <c r="Y14" s="16"/>
    </row>
    <row r="15" spans="1:19" s="17" customFormat="1" ht="11.25">
      <c r="A15" s="27" t="s">
        <v>3</v>
      </c>
      <c r="B15" s="11">
        <v>17</v>
      </c>
      <c r="C15" s="12" t="s">
        <v>19</v>
      </c>
      <c r="D15" s="10">
        <v>197.8</v>
      </c>
      <c r="E15" s="13">
        <f t="shared" si="0"/>
        <v>0.3725626257719796</v>
      </c>
      <c r="F15" s="30">
        <f t="shared" si="1"/>
        <v>0.3725626257719796</v>
      </c>
      <c r="G15" s="10">
        <v>194.1</v>
      </c>
      <c r="H15" s="13">
        <f t="shared" si="2"/>
        <v>0.2705374091771944</v>
      </c>
      <c r="I15" s="30">
        <f t="shared" si="3"/>
        <v>0.2890158055518659</v>
      </c>
      <c r="J15" s="10">
        <v>178.64</v>
      </c>
      <c r="K15" s="13">
        <f t="shared" si="4"/>
        <v>0.3879263460492579</v>
      </c>
      <c r="L15" s="30">
        <f t="shared" si="5"/>
        <v>0.3879263460492579</v>
      </c>
      <c r="M15" s="10">
        <v>179.59</v>
      </c>
      <c r="N15" s="13">
        <f t="shared" si="6"/>
        <v>0.3531494876431587</v>
      </c>
      <c r="O15" s="30">
        <f t="shared" si="7"/>
        <v>0.3619748217806764</v>
      </c>
      <c r="P15" s="10"/>
      <c r="Q15" s="33">
        <f t="shared" si="8"/>
        <v>0.3320831741974442</v>
      </c>
      <c r="R15" s="13">
        <f t="shared" si="8"/>
        <v>0.3411844177015073</v>
      </c>
      <c r="S15" s="10"/>
    </row>
    <row r="16" spans="1:19" s="1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22" s="17" customFormat="1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V17" s="12"/>
    </row>
    <row r="18" spans="1:19" s="17" customFormat="1" ht="11.25">
      <c r="A18" s="2"/>
      <c r="B18" s="2"/>
      <c r="C18" s="2"/>
      <c r="D18" s="2"/>
      <c r="E18" s="2"/>
      <c r="F18" s="37">
        <f>144.11*1.122</f>
        <v>161.69142000000002</v>
      </c>
      <c r="G18" s="2"/>
      <c r="H18" s="2"/>
      <c r="I18" s="37">
        <f>150.58*1.122</f>
        <v>168.95076000000003</v>
      </c>
      <c r="J18" s="2"/>
      <c r="K18" s="2"/>
      <c r="L18" s="37">
        <f>128.71*1.122</f>
        <v>144.41262000000003</v>
      </c>
      <c r="M18" s="2"/>
      <c r="N18" s="2"/>
      <c r="O18" s="37">
        <f>131.86*1.122</f>
        <v>147.94692000000003</v>
      </c>
      <c r="P18" s="2"/>
      <c r="Q18" s="2"/>
      <c r="R18" s="2"/>
      <c r="S18" s="2"/>
    </row>
    <row r="19" spans="1:19" s="17" customFormat="1" ht="11.25">
      <c r="A19" s="27" t="s">
        <v>23</v>
      </c>
      <c r="B19" s="11">
        <v>9</v>
      </c>
      <c r="C19" s="12" t="s">
        <v>32</v>
      </c>
      <c r="D19" s="10">
        <v>346.61</v>
      </c>
      <c r="E19" s="13">
        <v>0</v>
      </c>
      <c r="F19" s="30">
        <f>(D19/161.69)-1</f>
        <v>1.143669985775249</v>
      </c>
      <c r="G19" s="10">
        <v>431</v>
      </c>
      <c r="H19" s="13">
        <v>0</v>
      </c>
      <c r="I19" s="30">
        <f>(G19/168.95)-1</f>
        <v>1.5510506066883694</v>
      </c>
      <c r="J19" s="10">
        <v>405.88</v>
      </c>
      <c r="K19" s="13">
        <v>0</v>
      </c>
      <c r="L19" s="30">
        <f>(J19/144.41)-1</f>
        <v>1.8106086836091682</v>
      </c>
      <c r="M19" s="10">
        <v>500.91</v>
      </c>
      <c r="N19" s="13">
        <v>0</v>
      </c>
      <c r="O19" s="30">
        <f>(M19/147.95)-1</f>
        <v>2.3856708347414672</v>
      </c>
      <c r="P19" s="10"/>
      <c r="Q19" s="33">
        <f>(SUM(E19,H19,K19,N19)-MAX(E19,H19,K19,N19))/3</f>
        <v>0</v>
      </c>
      <c r="R19" s="13">
        <f>(SUM(F19,I19,L19,O19)-MAX(F19,I19,L19,O19))/3</f>
        <v>1.5017764253575956</v>
      </c>
      <c r="S19" s="10"/>
    </row>
    <row r="20" spans="1:19" s="17" customFormat="1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7" customFormat="1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1:24" ht="11.25">
      <c r="U22" s="17"/>
      <c r="V22" s="17"/>
      <c r="W22" s="17"/>
      <c r="X22" s="17"/>
    </row>
    <row r="23" spans="21:24" ht="11.25">
      <c r="U23" s="17"/>
      <c r="V23" s="17"/>
      <c r="W23" s="17"/>
      <c r="X23" s="17"/>
    </row>
    <row r="24" spans="21:24" ht="11.25">
      <c r="U24" s="17"/>
      <c r="V24" s="17"/>
      <c r="W24" s="17"/>
      <c r="X24" s="17"/>
    </row>
    <row r="25" spans="21:24" ht="11.25">
      <c r="U25" s="17"/>
      <c r="V25" s="17"/>
      <c r="W25" s="17"/>
      <c r="X25" s="17"/>
    </row>
    <row r="26" spans="21:24" ht="11.25">
      <c r="U26" s="17"/>
      <c r="V26" s="17"/>
      <c r="W26" s="17"/>
      <c r="X26" s="17"/>
    </row>
    <row r="27" spans="21:24" ht="11.25">
      <c r="U27" s="17"/>
      <c r="V27" s="17"/>
      <c r="W27" s="17"/>
      <c r="X27" s="17"/>
    </row>
    <row r="28" spans="21:24" ht="11.25">
      <c r="U28" s="17"/>
      <c r="V28" s="17"/>
      <c r="W28" s="17"/>
      <c r="X28" s="17"/>
    </row>
    <row r="29" spans="9:24" ht="11.25">
      <c r="I29" s="17"/>
      <c r="U29" s="17"/>
      <c r="V29" s="17"/>
      <c r="W29" s="17"/>
      <c r="X29" s="17"/>
    </row>
    <row r="30" spans="21:24" ht="11.25">
      <c r="U30" s="17"/>
      <c r="V30" s="17"/>
      <c r="W30" s="17"/>
      <c r="X30" s="17"/>
    </row>
    <row r="31" spans="21:24" ht="11.25">
      <c r="U31" s="17"/>
      <c r="V31" s="17"/>
      <c r="W31" s="17"/>
      <c r="X31" s="17"/>
    </row>
    <row r="32" spans="21:24" ht="11.25">
      <c r="U32" s="17"/>
      <c r="V32" s="17"/>
      <c r="W32" s="17"/>
      <c r="X32" s="17"/>
    </row>
    <row r="33" spans="21:24" ht="11.25">
      <c r="U33" s="17"/>
      <c r="V33" s="17"/>
      <c r="W33" s="17"/>
      <c r="X33" s="17"/>
    </row>
    <row r="34" spans="21:24" ht="11.25">
      <c r="U34" s="17"/>
      <c r="V34" s="17"/>
      <c r="W34" s="17"/>
      <c r="X34" s="17"/>
    </row>
    <row r="35" spans="21:24" ht="11.25">
      <c r="U35" s="17"/>
      <c r="V35" s="17"/>
      <c r="W35" s="17"/>
      <c r="X35" s="17"/>
    </row>
    <row r="36" spans="21:24" ht="11.25">
      <c r="U36" s="17"/>
      <c r="V36" s="17"/>
      <c r="W36" s="17"/>
      <c r="X36" s="17"/>
    </row>
    <row r="37" spans="21:24" ht="11.25">
      <c r="U37" s="17"/>
      <c r="V37" s="17"/>
      <c r="W37" s="17"/>
      <c r="X37" s="17"/>
    </row>
    <row r="38" spans="21:24" ht="11.25">
      <c r="U38" s="17"/>
      <c r="V38" s="17"/>
      <c r="W38" s="17"/>
      <c r="X38" s="17"/>
    </row>
    <row r="39" spans="21:24" ht="11.25">
      <c r="U39" s="17"/>
      <c r="V39" s="17"/>
      <c r="W39" s="17"/>
      <c r="X39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 </cp:lastModifiedBy>
  <cp:lastPrinted>2007-05-20T17:33:55Z</cp:lastPrinted>
  <dcterms:created xsi:type="dcterms:W3CDTF">2007-05-19T17:26:08Z</dcterms:created>
  <dcterms:modified xsi:type="dcterms:W3CDTF">2007-05-31T12:26:18Z</dcterms:modified>
  <cp:category/>
  <cp:version/>
  <cp:contentType/>
  <cp:contentStatus/>
</cp:coreProperties>
</file>